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5480" windowHeight="7980" activeTab="0"/>
  </bookViews>
  <sheets>
    <sheet name="Sheet1" sheetId="1" r:id="rId1"/>
  </sheets>
  <definedNames>
    <definedName name="alpha">'Sheet1'!$F$32</definedName>
    <definedName name="alpha0">'Sheet1'!$I$34</definedName>
    <definedName name="alpha2">'Sheet1'!$F$37</definedName>
    <definedName name="alpha2in">'Sheet1'!$D$37</definedName>
    <definedName name="ancre">'Sheet1'!$I$30</definedName>
    <definedName name="b">'Sheet1'!$I$31</definedName>
    <definedName name="beta">'Sheet1'!$I$45</definedName>
    <definedName name="cablot">'Sheet1'!$F$44</definedName>
    <definedName name="ch_seule">'Sheet1'!$F$39</definedName>
    <definedName name="ch1_">'Sheet1'!$F$14</definedName>
    <definedName name="coef_chaine">'Sheet1'!$K$21</definedName>
    <definedName name="coef_mixte">'Sheet1'!$K$20</definedName>
    <definedName name="d3_">'Sheet1'!$I$42</definedName>
    <definedName name="diam_ch">'Sheet1'!$F$13</definedName>
    <definedName name="f1_">'Sheet1'!$I$49</definedName>
    <definedName name="f2_">'Sheet1'!$I$50</definedName>
    <definedName name="f3_">'Sheet1'!$I$46</definedName>
    <definedName name="fardage">'Sheet1'!$F$19</definedName>
    <definedName name="Fin">'Sheet1'!$D$23</definedName>
    <definedName name="fond">'Sheet1'!$F$25</definedName>
    <definedName name="foot">'Sheet1'!$K$3</definedName>
    <definedName name="gon10">'Sheet1'!$K$5</definedName>
    <definedName name="hch">'Sheet1'!$I$43</definedName>
    <definedName name="Hin">'Sheet1'!$D$25</definedName>
    <definedName name="inch">'Sheet1'!$K$2</definedName>
    <definedName name="K">'Sheet1'!$K$11</definedName>
    <definedName name="k0">'Sheet1'!#REF!</definedName>
    <definedName name="kfond">'Sheet1'!$K$29</definedName>
    <definedName name="langue">'Sheet1'!$I$4</definedName>
    <definedName name="Lboatin">'Sheet1'!$D$11</definedName>
    <definedName name="Lin">'Sheet1'!$D$14</definedName>
    <definedName name="long">'Sheet1'!$F$11</definedName>
    <definedName name="m_p">'Sheet1'!$K$23</definedName>
    <definedName name="p">'Sheet1'!$L$11</definedName>
    <definedName name="P1_">'Sheet1'!$I$13</definedName>
    <definedName name="poids_ch">'Sheet1'!$F$15</definedName>
    <definedName name="pound">'Sheet1'!$K$4</definedName>
    <definedName name="reduc">'Sheet1'!$K$32</definedName>
    <definedName name="reduc2">'Sheet1'!$K$37</definedName>
    <definedName name="sinalpha">'Sheet1'!$I$33</definedName>
    <definedName name="sinbeta">'Sheet1'!#REF!</definedName>
    <definedName name="sizein">'Sheet1'!$D$13</definedName>
    <definedName name="solver_adj" localSheetId="0" hidden="1">'Sheet1'!#REF!,'Sheet1'!#REF!,'Sheet1'!#REF!</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hs1" localSheetId="0" hidden="1">'Sheet1'!#REF!</definedName>
    <definedName name="solver_lhs2" localSheetId="0" hidden="1">'Sheet1'!#REF!</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'Sheet1'!#REF!</definedName>
    <definedName name="solver_pre" localSheetId="0" hidden="1">0.000001</definedName>
    <definedName name="solver_rel1" localSheetId="0" hidden="1">2</definedName>
    <definedName name="solver_rel2" localSheetId="0" hidden="1">2</definedName>
    <definedName name="solver_rhs1" localSheetId="0" hidden="1">0</definedName>
    <definedName name="solver_rhs2" localSheetId="0" hidden="1">'Sheet1'!$D$25</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 name="surt">'Sheet1'!#REF!</definedName>
    <definedName name="surt_ch">'Sheet1'!$F$21</definedName>
    <definedName name="surt_mixte">'Sheet1'!$F$20</definedName>
    <definedName name="tanbeta">'Sheet1'!$I$44</definedName>
    <definedName name="tension">'Sheet1'!$F$23</definedName>
    <definedName name="tenue">'Sheet1'!$I$29</definedName>
    <definedName name="testangul">'Sheet1'!$I$32</definedName>
    <definedName name="traction">'Sheet1'!$F$19</definedName>
    <definedName name="type">'Sheet1'!$I$11</definedName>
    <definedName name="units">'Sheet1'!$I$5</definedName>
    <definedName name="v2_">'Sheet1'!$I$37</definedName>
    <definedName name="vent">'Sheet1'!$F$17</definedName>
    <definedName name="Vwin">'Sheet1'!$D$17</definedName>
  </definedNames>
  <calcPr fullCalcOnLoad="1"/>
</workbook>
</file>

<file path=xl/sharedStrings.xml><?xml version="1.0" encoding="utf-8"?>
<sst xmlns="http://schemas.openxmlformats.org/spreadsheetml/2006/main" count="191" uniqueCount="130">
  <si>
    <t>m</t>
  </si>
  <si>
    <t>daN</t>
  </si>
  <si>
    <t>tanbeta =</t>
  </si>
  <si>
    <t>beta =</t>
  </si>
  <si>
    <t>mm</t>
  </si>
  <si>
    <t>p1_ =</t>
  </si>
  <si>
    <t>nd</t>
  </si>
  <si>
    <t>kg</t>
  </si>
  <si>
    <t>Dimensionnement du mouillage d'un voilier</t>
  </si>
  <si>
    <t>Calibre de la chaîne ?</t>
  </si>
  <si>
    <t>Longueur de chaîne disponible ?</t>
  </si>
  <si>
    <t>Vitesse du vent ?</t>
  </si>
  <si>
    <t>Wind speed ?</t>
  </si>
  <si>
    <t>Available chain length?</t>
  </si>
  <si>
    <t>Max dynamic overtension (gusts) with all-chain rode</t>
  </si>
  <si>
    <t>Water depth + freeboard?</t>
  </si>
  <si>
    <t>Profondeur (distance davier - fond) ?</t>
  </si>
  <si>
    <t>Surtension dynamique avec ligne toute en chaîne</t>
  </si>
  <si>
    <t>Français</t>
  </si>
  <si>
    <t>English</t>
  </si>
  <si>
    <t>Monohull</t>
  </si>
  <si>
    <t>Monocoque</t>
  </si>
  <si>
    <t>Catamaran</t>
  </si>
  <si>
    <t>Médiocre</t>
  </si>
  <si>
    <t>Moyenne</t>
  </si>
  <si>
    <t>Bonne</t>
  </si>
  <si>
    <t>Poor</t>
  </si>
  <si>
    <t>Medium</t>
  </si>
  <si>
    <t>Tenue du fond ?</t>
  </si>
  <si>
    <t>Seabed holding?</t>
  </si>
  <si>
    <t>Chain diameter?</t>
  </si>
  <si>
    <t>inch =</t>
  </si>
  <si>
    <t>foot =</t>
  </si>
  <si>
    <t>pound =</t>
  </si>
  <si>
    <t>AF</t>
  </si>
  <si>
    <t>Good</t>
  </si>
  <si>
    <t>Excellent</t>
  </si>
  <si>
    <t>Excellente</t>
  </si>
  <si>
    <t>sinalpha =</t>
  </si>
  <si>
    <t>°</t>
  </si>
  <si>
    <t>testangul =</t>
  </si>
  <si>
    <t>rd</t>
  </si>
  <si>
    <t>Poids de la chaîne</t>
  </si>
  <si>
    <t>Chain weight</t>
  </si>
  <si>
    <t>kt</t>
  </si>
  <si>
    <t>Tension choisie ?</t>
  </si>
  <si>
    <t>Selected tension?</t>
  </si>
  <si>
    <t>Type ?</t>
  </si>
  <si>
    <t>Type?</t>
  </si>
  <si>
    <t>Longueur ?</t>
  </si>
  <si>
    <t>Length?</t>
  </si>
  <si>
    <t>Longueur min du câblot</t>
  </si>
  <si>
    <t>Longueur totale min de la ligne</t>
  </si>
  <si>
    <t>Total rode length</t>
  </si>
  <si>
    <t>Longueur min de la chaîne</t>
  </si>
  <si>
    <t>Tension statique</t>
  </si>
  <si>
    <t>Static mode tension</t>
  </si>
  <si>
    <t>Bateau</t>
  </si>
  <si>
    <t>Boat</t>
  </si>
  <si>
    <t>Vent</t>
  </si>
  <si>
    <t>Wind</t>
  </si>
  <si>
    <t>Tensions estimées</t>
  </si>
  <si>
    <t>Estimated tensions</t>
  </si>
  <si>
    <t>Chaîne</t>
  </si>
  <si>
    <t>Chain</t>
  </si>
  <si>
    <t>Fond</t>
  </si>
  <si>
    <t>Bottom</t>
  </si>
  <si>
    <t>Peut être réduit de 30% pour les ancres modernes à très haute tenue</t>
  </si>
  <si>
    <t>Minimum weight can be reduced by 30% with modern high holding anchors</t>
  </si>
  <si>
    <t>(*) Avec ancre classique : CQR, Bruce, Danforth, Britany, FOB etc.</t>
  </si>
  <si>
    <t>(*) For classic anchor, e.g. CQR, Bruce, Danforth, Britany, etc.</t>
  </si>
  <si>
    <t>Poids min de l'ancre</t>
  </si>
  <si>
    <t>Minimum anchor weight</t>
  </si>
  <si>
    <t>Minimum chain length</t>
  </si>
  <si>
    <t>Minimum nylon length</t>
  </si>
  <si>
    <t>Angulation</t>
  </si>
  <si>
    <t>coef_mixte =</t>
  </si>
  <si>
    <t>kfond =</t>
  </si>
  <si>
    <t>K, p =</t>
  </si>
  <si>
    <t>coef_chaine =</t>
  </si>
  <si>
    <t>Surtension dynamique avec ligne mixte</t>
  </si>
  <si>
    <t>Dynamic overtension with mixed rode</t>
  </si>
  <si>
    <t>Rapport "Longueur totale / Fond"</t>
  </si>
  <si>
    <t>Rapport "Longueur / Fond"</t>
  </si>
  <si>
    <t>Scope ("Length/Depth" ratio)</t>
  </si>
  <si>
    <t>Scope ("Total Length/Depth" ratio)</t>
  </si>
  <si>
    <t>e.g. Spade, Brake, Bügel, Delta</t>
  </si>
  <si>
    <t>Sizing a Sailboat's Anchor Rode</t>
  </si>
  <si>
    <t>in</t>
  </si>
  <si>
    <t>lb</t>
  </si>
  <si>
    <t>ft</t>
  </si>
  <si>
    <t>deg</t>
  </si>
  <si>
    <t>Données :</t>
  </si>
  <si>
    <t>Data:</t>
  </si>
  <si>
    <t>Résultats :</t>
  </si>
  <si>
    <t>Results:</t>
  </si>
  <si>
    <t>units =</t>
  </si>
  <si>
    <t>Units:</t>
  </si>
  <si>
    <t>Metric</t>
  </si>
  <si>
    <t>Imperial</t>
  </si>
  <si>
    <t>Système d'unités :</t>
  </si>
  <si>
    <t>Métrique</t>
  </si>
  <si>
    <t>Anglo-Saxon</t>
  </si>
  <si>
    <t>g/10 =</t>
  </si>
  <si>
    <t>daN/kg</t>
  </si>
  <si>
    <t>alpha0 =</t>
  </si>
  <si>
    <t>rad            =</t>
  </si>
  <si>
    <t>b =</t>
  </si>
  <si>
    <t>v2_=</t>
  </si>
  <si>
    <t>2ème cas : chaîne seule avec angulation donnée</t>
  </si>
  <si>
    <t>2nd case: All-chain rode with given angulation</t>
  </si>
  <si>
    <t>ancre =</t>
  </si>
  <si>
    <t>Angulation?</t>
  </si>
  <si>
    <t>Angulation ?</t>
  </si>
  <si>
    <t>d3_=</t>
  </si>
  <si>
    <t>hch =</t>
  </si>
  <si>
    <t>f3_=</t>
  </si>
  <si>
    <t>mass_power =</t>
  </si>
  <si>
    <t>3ème cas : chaîne dispo. + câblot  (même angulation)</t>
  </si>
  <si>
    <t>3rd case: Available chain + nylon (same angulation)</t>
  </si>
  <si>
    <t>http://alain.fraysse.free.fr</t>
  </si>
  <si>
    <t>reduc =</t>
  </si>
  <si>
    <t>rad       &lt;-----</t>
  </si>
  <si>
    <t>1er cas : toute la chaîne disponible seule</t>
  </si>
  <si>
    <t>1st case: Whole available chain alone</t>
  </si>
  <si>
    <t>tenue =</t>
  </si>
  <si>
    <t>type =</t>
  </si>
  <si>
    <t>daN/m</t>
  </si>
  <si>
    <t>v. 1.4</t>
  </si>
  <si>
    <t>langue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</si>
</sst>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0.000E+00"/>
    <numFmt numFmtId="180" formatCode="0.000000000"/>
    <numFmt numFmtId="181" formatCode="dd/mm/yy"/>
    <numFmt numFmtId="182" formatCode="0.0&quot;:1&quot;"/>
    <numFmt numFmtId="183" formatCode="0&quot;:1&quot;"/>
    <numFmt numFmtId="184" formatCode="#\ ??/16"/>
    <numFmt numFmtId="185" formatCode="#\ ?/8"/>
  </numFmts>
  <fonts count="19">
    <font>
      <sz val="10"/>
      <name val="Arial"/>
      <family val="0"/>
    </font>
    <font>
      <b/>
      <sz val="10"/>
      <name val="Arial"/>
      <family val="2"/>
    </font>
    <font>
      <b/>
      <sz val="10"/>
      <color indexed="10"/>
      <name val="Arial"/>
      <family val="2"/>
    </font>
    <font>
      <b/>
      <sz val="10"/>
      <color indexed="12"/>
      <name val="Arial"/>
      <family val="2"/>
    </font>
    <font>
      <b/>
      <sz val="12"/>
      <name val="Arial"/>
      <family val="2"/>
    </font>
    <font>
      <i/>
      <sz val="10"/>
      <name val="Arial"/>
      <family val="2"/>
    </font>
    <font>
      <sz val="8"/>
      <name val="Tahoma"/>
      <family val="2"/>
    </font>
    <font>
      <u val="single"/>
      <sz val="10"/>
      <color indexed="12"/>
      <name val="Arial"/>
      <family val="0"/>
    </font>
    <font>
      <u val="single"/>
      <sz val="10"/>
      <color indexed="36"/>
      <name val="Arial"/>
      <family val="0"/>
    </font>
    <font>
      <i/>
      <sz val="9"/>
      <name val="Arial"/>
      <family val="2"/>
    </font>
    <font>
      <b/>
      <i/>
      <sz val="12"/>
      <name val="Arial"/>
      <family val="2"/>
    </font>
    <font>
      <b/>
      <sz val="10"/>
      <color indexed="17"/>
      <name val="Arial"/>
      <family val="2"/>
    </font>
    <font>
      <b/>
      <sz val="10"/>
      <color indexed="8"/>
      <name val="Arial"/>
      <family val="2"/>
    </font>
    <font>
      <b/>
      <i/>
      <sz val="10"/>
      <color indexed="17"/>
      <name val="Arial"/>
      <family val="2"/>
    </font>
    <font>
      <b/>
      <i/>
      <sz val="10"/>
      <color indexed="10"/>
      <name val="Arial"/>
      <family val="2"/>
    </font>
    <font>
      <b/>
      <sz val="14"/>
      <name val="Arial"/>
      <family val="2"/>
    </font>
    <font>
      <b/>
      <sz val="12"/>
      <color indexed="18"/>
      <name val="Arial"/>
      <family val="2"/>
    </font>
    <font>
      <sz val="10"/>
      <color indexed="9"/>
      <name val="Arial"/>
      <family val="2"/>
    </font>
    <font>
      <u val="single"/>
      <sz val="10"/>
      <color indexed="48"/>
      <name val="Arial"/>
      <family val="2"/>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178" fontId="2" fillId="0" borderId="0" xfId="0" applyNumberFormat="1" applyFont="1" applyAlignment="1">
      <alignment/>
    </xf>
    <xf numFmtId="0" fontId="3" fillId="0" borderId="0" xfId="0" applyFont="1" applyAlignment="1">
      <alignment/>
    </xf>
    <xf numFmtId="0" fontId="5" fillId="0" borderId="0" xfId="0" applyFont="1" applyAlignment="1">
      <alignment/>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177" fontId="0" fillId="0" borderId="0" xfId="0" applyNumberFormat="1" applyAlignment="1" applyProtection="1">
      <alignment/>
      <protection locked="0"/>
    </xf>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center"/>
    </xf>
    <xf numFmtId="0" fontId="0" fillId="0" borderId="0" xfId="0" applyAlignment="1">
      <alignment horizontal="right"/>
    </xf>
    <xf numFmtId="1" fontId="2"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1" fontId="0" fillId="0" borderId="0" xfId="0" applyNumberFormat="1" applyFont="1" applyFill="1" applyAlignment="1">
      <alignment/>
    </xf>
    <xf numFmtId="178" fontId="0" fillId="0" borderId="0" xfId="0" applyNumberFormat="1" applyFont="1" applyAlignment="1">
      <alignment/>
    </xf>
    <xf numFmtId="0" fontId="0" fillId="0" borderId="0" xfId="0" applyAlignment="1">
      <alignment horizontal="left"/>
    </xf>
    <xf numFmtId="0" fontId="9" fillId="0" borderId="0" xfId="0" applyFont="1" applyAlignment="1">
      <alignment horizontal="left"/>
    </xf>
    <xf numFmtId="181" fontId="9" fillId="0" borderId="0" xfId="0" applyNumberFormat="1" applyFont="1" applyAlignment="1">
      <alignment/>
    </xf>
    <xf numFmtId="0" fontId="9" fillId="0" borderId="0" xfId="0" applyFont="1" applyAlignment="1">
      <alignment/>
    </xf>
    <xf numFmtId="177" fontId="0" fillId="0" borderId="0" xfId="0" applyNumberFormat="1" applyAlignment="1">
      <alignment/>
    </xf>
    <xf numFmtId="177" fontId="0" fillId="0" borderId="0" xfId="0" applyNumberFormat="1" applyFont="1" applyFill="1" applyAlignment="1">
      <alignment/>
    </xf>
    <xf numFmtId="0" fontId="4" fillId="0" borderId="0" xfId="0" applyFont="1" applyAlignment="1">
      <alignment horizontal="left"/>
    </xf>
    <xf numFmtId="0" fontId="10" fillId="0" borderId="0" xfId="0" applyFont="1" applyAlignment="1">
      <alignment horizontal="right"/>
    </xf>
    <xf numFmtId="0" fontId="0" fillId="0" borderId="0" xfId="0" applyFill="1" applyAlignment="1">
      <alignment/>
    </xf>
    <xf numFmtId="1" fontId="0" fillId="0" borderId="0" xfId="0" applyNumberFormat="1" applyAlignment="1">
      <alignment/>
    </xf>
    <xf numFmtId="0" fontId="0" fillId="0" borderId="0" xfId="0" applyFont="1" applyFill="1" applyAlignment="1" applyProtection="1">
      <alignment/>
      <protection locked="0"/>
    </xf>
    <xf numFmtId="0" fontId="11" fillId="0" borderId="0" xfId="0" applyFont="1" applyAlignment="1">
      <alignment horizontal="left"/>
    </xf>
    <xf numFmtId="0" fontId="2" fillId="0" borderId="0" xfId="0" applyFont="1" applyAlignment="1">
      <alignment horizontal="left"/>
    </xf>
    <xf numFmtId="1" fontId="12" fillId="0" borderId="0" xfId="0" applyNumberFormat="1" applyFont="1" applyAlignment="1">
      <alignment/>
    </xf>
    <xf numFmtId="0" fontId="12" fillId="0" borderId="0" xfId="0" applyFont="1" applyAlignment="1">
      <alignment horizontal="left"/>
    </xf>
    <xf numFmtId="183" fontId="12" fillId="0" borderId="0" xfId="0" applyNumberFormat="1" applyFont="1" applyAlignment="1">
      <alignment/>
    </xf>
    <xf numFmtId="0" fontId="11" fillId="2" borderId="0" xfId="0" applyFont="1" applyFill="1" applyAlignment="1" applyProtection="1">
      <alignment/>
      <protection locked="0"/>
    </xf>
    <xf numFmtId="0" fontId="15" fillId="0" borderId="0" xfId="0" applyFont="1" applyAlignment="1">
      <alignment horizontal="left"/>
    </xf>
    <xf numFmtId="0" fontId="0" fillId="3" borderId="0" xfId="0" applyFill="1" applyAlignment="1" applyProtection="1">
      <alignment/>
      <protection locked="0"/>
    </xf>
    <xf numFmtId="0" fontId="0" fillId="3" borderId="0" xfId="0" applyFill="1" applyAlignment="1">
      <alignment/>
    </xf>
    <xf numFmtId="0" fontId="0" fillId="4" borderId="0" xfId="0" applyFill="1" applyAlignment="1">
      <alignment horizontal="right"/>
    </xf>
    <xf numFmtId="0" fontId="0" fillId="4" borderId="0" xfId="0" applyFill="1" applyAlignment="1">
      <alignment/>
    </xf>
    <xf numFmtId="0" fontId="0" fillId="5" borderId="0" xfId="0" applyFont="1" applyFill="1" applyAlignment="1">
      <alignment/>
    </xf>
    <xf numFmtId="0" fontId="0" fillId="5" borderId="0" xfId="0" applyFont="1" applyFill="1" applyAlignment="1">
      <alignment horizontal="left"/>
    </xf>
    <xf numFmtId="0" fontId="0" fillId="5" borderId="0" xfId="0" applyFill="1" applyAlignment="1">
      <alignment/>
    </xf>
    <xf numFmtId="0" fontId="0" fillId="6" borderId="0" xfId="0" applyFont="1" applyFill="1" applyAlignment="1">
      <alignment/>
    </xf>
    <xf numFmtId="0" fontId="0" fillId="6" borderId="0" xfId="0" applyFont="1" applyFill="1" applyAlignment="1">
      <alignment horizontal="left"/>
    </xf>
    <xf numFmtId="0" fontId="0" fillId="6" borderId="0" xfId="0" applyFill="1" applyAlignment="1">
      <alignment/>
    </xf>
    <xf numFmtId="0" fontId="11" fillId="2" borderId="0" xfId="0" applyFont="1" applyFill="1" applyAlignment="1">
      <alignment/>
    </xf>
    <xf numFmtId="0" fontId="1" fillId="7" borderId="0" xfId="0" applyFont="1" applyFill="1" applyAlignment="1">
      <alignment horizontal="left"/>
    </xf>
    <xf numFmtId="0" fontId="0" fillId="7" borderId="0" xfId="0" applyFill="1" applyAlignment="1">
      <alignment/>
    </xf>
    <xf numFmtId="0" fontId="0" fillId="7" borderId="0" xfId="0" applyFill="1" applyAlignment="1" applyProtection="1">
      <alignment/>
      <protection locked="0"/>
    </xf>
    <xf numFmtId="0" fontId="0" fillId="7" borderId="0" xfId="0" applyFill="1" applyAlignment="1">
      <alignment horizontal="right"/>
    </xf>
    <xf numFmtId="0" fontId="0" fillId="7" borderId="0" xfId="0" applyFont="1" applyFill="1" applyAlignment="1">
      <alignment/>
    </xf>
    <xf numFmtId="0" fontId="16" fillId="0" borderId="0" xfId="0" applyFont="1" applyFill="1" applyAlignment="1">
      <alignment horizontal="left"/>
    </xf>
    <xf numFmtId="0" fontId="0" fillId="8" borderId="0" xfId="0" applyFill="1" applyAlignment="1" applyProtection="1">
      <alignment horizontal="right"/>
      <protection/>
    </xf>
    <xf numFmtId="0" fontId="0" fillId="8" borderId="0" xfId="0" applyFont="1" applyFill="1" applyAlignment="1" applyProtection="1">
      <alignment/>
      <protection/>
    </xf>
    <xf numFmtId="0" fontId="0" fillId="8" borderId="0" xfId="0" applyFont="1" applyFill="1" applyAlignment="1" applyProtection="1">
      <alignment horizontal="right"/>
      <protection/>
    </xf>
    <xf numFmtId="0" fontId="0" fillId="5" borderId="0" xfId="0" applyFill="1" applyAlignment="1" applyProtection="1">
      <alignment/>
      <protection/>
    </xf>
    <xf numFmtId="0" fontId="0" fillId="6" borderId="0" xfId="0" applyFill="1" applyAlignment="1" applyProtection="1">
      <alignment/>
      <protection/>
    </xf>
    <xf numFmtId="0" fontId="1" fillId="0" borderId="0" xfId="0" applyFont="1" applyBorder="1" applyAlignment="1" applyProtection="1">
      <alignment horizontal="right"/>
      <protection/>
    </xf>
    <xf numFmtId="0" fontId="0" fillId="4" borderId="0" xfId="0" applyFont="1" applyFill="1" applyAlignment="1" applyProtection="1">
      <alignment horizontal="right"/>
      <protection/>
    </xf>
    <xf numFmtId="176" fontId="0" fillId="4" borderId="0" xfId="0" applyNumberFormat="1" applyFont="1" applyFill="1" applyAlignment="1" applyProtection="1">
      <alignment/>
      <protection/>
    </xf>
    <xf numFmtId="0" fontId="0" fillId="4" borderId="0" xfId="0" applyFill="1" applyAlignment="1" applyProtection="1">
      <alignment/>
      <protection/>
    </xf>
    <xf numFmtId="0" fontId="17" fillId="0" borderId="0" xfId="0" applyFont="1" applyAlignment="1">
      <alignment/>
    </xf>
    <xf numFmtId="1" fontId="17" fillId="0" borderId="0" xfId="0" applyNumberFormat="1" applyFont="1" applyAlignment="1">
      <alignment/>
    </xf>
    <xf numFmtId="178" fontId="11" fillId="2" borderId="0" xfId="0" applyNumberFormat="1" applyFont="1" applyFill="1" applyAlignment="1" applyProtection="1">
      <alignment/>
      <protection locked="0"/>
    </xf>
    <xf numFmtId="177" fontId="17" fillId="0" borderId="0" xfId="0" applyNumberFormat="1" applyFont="1" applyAlignment="1">
      <alignment/>
    </xf>
    <xf numFmtId="178" fontId="0" fillId="0" borderId="0" xfId="0" applyNumberFormat="1" applyAlignment="1">
      <alignment/>
    </xf>
    <xf numFmtId="178" fontId="12" fillId="0" borderId="0" xfId="0" applyNumberFormat="1" applyFont="1" applyAlignment="1">
      <alignment/>
    </xf>
    <xf numFmtId="178" fontId="0" fillId="0" borderId="0" xfId="0" applyNumberFormat="1" applyAlignment="1" applyProtection="1">
      <alignment/>
      <protection locked="0"/>
    </xf>
    <xf numFmtId="178" fontId="0" fillId="0" borderId="0" xfId="0" applyNumberFormat="1" applyFont="1" applyFill="1" applyAlignment="1">
      <alignment/>
    </xf>
    <xf numFmtId="0" fontId="0" fillId="0" borderId="0" xfId="0" applyBorder="1" applyAlignment="1">
      <alignment/>
    </xf>
    <xf numFmtId="0" fontId="7" fillId="0" borderId="0" xfId="20" applyFill="1" applyBorder="1" applyAlignment="1" applyProtection="1">
      <alignment horizontal="left"/>
      <protection/>
    </xf>
    <xf numFmtId="0" fontId="0" fillId="7" borderId="0" xfId="0" applyFont="1" applyFill="1" applyAlignment="1" applyProtection="1">
      <alignment/>
      <protection locked="0"/>
    </xf>
    <xf numFmtId="0" fontId="0" fillId="7" borderId="0" xfId="0" applyFill="1" applyAlignment="1" applyProtection="1">
      <alignment horizontal="right"/>
      <protection locked="0"/>
    </xf>
    <xf numFmtId="0" fontId="0" fillId="8" borderId="0" xfId="0" applyFont="1" applyFill="1" applyAlignment="1" applyProtection="1">
      <alignment/>
      <protection locked="0"/>
    </xf>
    <xf numFmtId="2" fontId="11" fillId="2" borderId="0" xfId="0" applyNumberFormat="1" applyFont="1" applyFill="1" applyAlignment="1">
      <alignment/>
    </xf>
    <xf numFmtId="0" fontId="0" fillId="3" borderId="0" xfId="0" applyFont="1" applyFill="1" applyAlignment="1" applyProtection="1">
      <alignment/>
      <protection locked="0"/>
    </xf>
    <xf numFmtId="0" fontId="0" fillId="3" borderId="0" xfId="0" applyFill="1" applyAlignment="1" applyProtection="1">
      <alignment horizontal="right"/>
      <protection locked="0"/>
    </xf>
    <xf numFmtId="1" fontId="11" fillId="2" borderId="0" xfId="0" applyNumberFormat="1" applyFont="1" applyFill="1" applyAlignment="1" applyProtection="1">
      <alignment/>
      <protection locked="0"/>
    </xf>
    <xf numFmtId="184" fontId="11" fillId="2" borderId="0" xfId="0" applyNumberFormat="1" applyFont="1" applyFill="1" applyAlignment="1" applyProtection="1">
      <alignment/>
      <protection locked="0"/>
    </xf>
    <xf numFmtId="185"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xdr:row>
      <xdr:rowOff>0</xdr:rowOff>
    </xdr:from>
    <xdr:to>
      <xdr:col>20</xdr:col>
      <xdr:colOff>704850</xdr:colOff>
      <xdr:row>45</xdr:row>
      <xdr:rowOff>152400</xdr:rowOff>
    </xdr:to>
    <xdr:sp>
      <xdr:nvSpPr>
        <xdr:cNvPr id="1" name="TextBox 8"/>
        <xdr:cNvSpPr txBox="1">
          <a:spLocks noChangeArrowheads="1"/>
        </xdr:cNvSpPr>
      </xdr:nvSpPr>
      <xdr:spPr>
        <a:xfrm>
          <a:off x="6124575" y="304800"/>
          <a:ext cx="3695700" cy="746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a:t>
          </a:r>
          <a:r>
            <a:rPr lang="en-US" cap="none" sz="1000" b="0" i="0" u="none" baseline="0">
              <a:latin typeface="Arial"/>
              <a:ea typeface="Arial"/>
              <a:cs typeface="Arial"/>
            </a:rPr>
            <a:t>
</a:t>
          </a:r>
          <a:r>
            <a:rPr lang="en-US" cap="none" sz="1000" b="0" i="1" u="none" baseline="0">
              <a:latin typeface="Arial"/>
              <a:ea typeface="Arial"/>
              <a:cs typeface="Arial"/>
            </a:rPr>
            <a:t>Input data (i.e. anchoring conditions) are in </a:t>
          </a:r>
          <a:r>
            <a:rPr lang="en-US" cap="none" sz="1000" b="1" i="1" u="none" baseline="0">
              <a:solidFill>
                <a:srgbClr val="008000"/>
              </a:solidFill>
              <a:latin typeface="Arial"/>
              <a:ea typeface="Arial"/>
              <a:cs typeface="Arial"/>
            </a:rPr>
            <a:t>green</a:t>
          </a:r>
          <a:r>
            <a:rPr lang="en-US" cap="none" sz="1000" b="0" i="1" u="none" baseline="0">
              <a:latin typeface="Arial"/>
              <a:ea typeface="Arial"/>
              <a:cs typeface="Arial"/>
            </a:rPr>
            <a:t> characters/yellow background. Required rode/anchor characteristics are in </a:t>
          </a:r>
          <a:r>
            <a:rPr lang="en-US" cap="none" sz="1000" b="1" i="1" u="none" baseline="0">
              <a:solidFill>
                <a:srgbClr val="FF0000"/>
              </a:solidFill>
              <a:latin typeface="Arial"/>
              <a:ea typeface="Arial"/>
              <a:cs typeface="Arial"/>
            </a:rPr>
            <a:t>red</a:t>
          </a:r>
          <a:r>
            <a:rPr lang="en-US" cap="none" sz="1000" b="0" i="1" u="none" baseline="0">
              <a:latin typeface="Arial"/>
              <a:ea typeface="Arial"/>
              <a:cs typeface="Arial"/>
            </a:rPr>
            <a:t>. Other results are in black.</a:t>
          </a:r>
          <a:r>
            <a:rPr lang="en-US" cap="none" sz="1000" b="0" i="0" u="none" baseline="0">
              <a:latin typeface="Arial"/>
              <a:ea typeface="Arial"/>
              <a:cs typeface="Arial"/>
            </a:rPr>
            <a:t>
After your selecting the boat length, the available chain characteristics and the wind velocity, the program computes 3 windage forces that correspond to 3 typical situations:
- constant wind,
- gusts with a chain-only rode,
- gusts with a mixed rode.
To go on, you should enter:
- a tension (</a:t>
          </a:r>
          <a:r>
            <a:rPr lang="en-US" cap="none" sz="1000" b="0" i="1" u="none" baseline="0">
              <a:latin typeface="Arial"/>
              <a:ea typeface="Arial"/>
              <a:cs typeface="Arial"/>
            </a:rPr>
            <a:t>you are not limited to the just computed ones!</a:t>
          </a:r>
          <a:r>
            <a:rPr lang="en-US" cap="none" sz="1000" b="0" i="0" u="none" baseline="0">
              <a:latin typeface="Arial"/>
              <a:ea typeface="Arial"/>
              <a:cs typeface="Arial"/>
            </a:rPr>
            <a:t>),
- the water depth (including freeboard),
- the holding quality of the seabed.
Given these anchoring conditions, the sheet answers 3 questions:
- What is the minimum anchor weight to insure holding if I only use the available chain?
- What should be the chain length in order to limit angulation to a given value, and the resulting minimum anchor weight?
- Which nylon length must I add to the available chain in order to limit angulation to the given value, and the resulting minimum anchor weight?
</a:t>
          </a:r>
          <a:r>
            <a:rPr lang="en-US" cap="none" sz="1000" b="1" i="0" u="none" baseline="0">
              <a:latin typeface="Arial"/>
              <a:ea typeface="Arial"/>
              <a:cs typeface="Arial"/>
            </a:rPr>
            <a:t>Caution</a:t>
          </a:r>
          <a:r>
            <a:rPr lang="en-US" cap="none" sz="1000" b="0" i="0" u="none" baseline="0">
              <a:latin typeface="Arial"/>
              <a:ea typeface="Arial"/>
              <a:cs typeface="Arial"/>
            </a:rPr>
            <a:t>: this spreadsheet can only give you a </a:t>
          </a:r>
          <a:r>
            <a:rPr lang="en-US" cap="none" sz="1000" b="1" i="0" u="none" baseline="0">
              <a:latin typeface="Arial"/>
              <a:ea typeface="Arial"/>
              <a:cs typeface="Arial"/>
            </a:rPr>
            <a:t>rough</a:t>
          </a:r>
          <a:r>
            <a:rPr lang="en-US" cap="none" sz="1000" b="0" i="0" u="none" baseline="0">
              <a:latin typeface="Arial"/>
              <a:ea typeface="Arial"/>
              <a:cs typeface="Arial"/>
            </a:rPr>
            <a:t> idea of the </a:t>
          </a:r>
          <a:r>
            <a:rPr lang="en-US" cap="none" sz="1000" b="1" i="0" u="none" baseline="0">
              <a:latin typeface="Arial"/>
              <a:ea typeface="Arial"/>
              <a:cs typeface="Arial"/>
            </a:rPr>
            <a:t>minimum requirements</a:t>
          </a:r>
          <a:r>
            <a:rPr lang="en-US" cap="none" sz="1000" b="0" i="0" u="none" baseline="0">
              <a:latin typeface="Arial"/>
              <a:ea typeface="Arial"/>
              <a:cs typeface="Arial"/>
            </a:rPr>
            <a:t> for given anchoring conditions. When entering the anchoring conditions, as well as interpreting the results, please remember that many of the influent parameters are not accurately known, even if they are displayed with a 3 digit precision on your navigation instruments!
For more details, please connect to
</a:t>
          </a:r>
          <a:r>
            <a:rPr lang="en-US" cap="none" sz="1000" b="0" i="0" u="sng" baseline="0">
              <a:solidFill>
                <a:srgbClr val="3366FF"/>
              </a:solidFill>
              <a:latin typeface="Arial"/>
              <a:ea typeface="Arial"/>
              <a:cs typeface="Arial"/>
            </a:rPr>
            <a:t>http://alain.fraysse.free.fr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lain.fraysse.free.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X55"/>
  <sheetViews>
    <sheetView showGridLines="0" showRowColHeaders="0" tabSelected="1" workbookViewId="0" topLeftCell="A1">
      <selection activeCell="Y28" sqref="Y28"/>
    </sheetView>
  </sheetViews>
  <sheetFormatPr defaultColWidth="9.140625" defaultRowHeight="12.75"/>
  <cols>
    <col min="1" max="1" width="1.8515625" style="0" customWidth="1"/>
    <col min="2" max="2" width="59.421875" style="0" customWidth="1"/>
    <col min="3" max="3" width="1.421875" style="0" customWidth="1"/>
    <col min="4" max="4" width="6.28125" style="0" customWidth="1"/>
    <col min="5" max="6" width="7.8515625" style="0" customWidth="1"/>
    <col min="7" max="7" width="6.28125" style="0" customWidth="1"/>
    <col min="8" max="10" width="11.421875" style="5" hidden="1" customWidth="1"/>
    <col min="11" max="12" width="8.28125" style="5" hidden="1" customWidth="1"/>
    <col min="13" max="13" width="34.8515625" style="0" hidden="1" customWidth="1"/>
    <col min="14" max="14" width="5.57421875" style="0" hidden="1" customWidth="1"/>
    <col min="15" max="15" width="31.57421875" style="0" hidden="1" customWidth="1"/>
    <col min="16" max="16" width="6.421875" style="0" hidden="1" customWidth="1"/>
    <col min="17" max="16384" width="11.421875" style="0" customWidth="1"/>
  </cols>
  <sheetData>
    <row r="1" spans="14:16" ht="6" customHeight="1">
      <c r="N1" s="14"/>
      <c r="P1" s="14"/>
    </row>
    <row r="2" spans="2:16" ht="18">
      <c r="B2" s="35" t="str">
        <f>IF(langue=2,M2,O2)</f>
        <v>Sizing a Sailboat's Anchor Rode</v>
      </c>
      <c r="D2" s="19" t="s">
        <v>34</v>
      </c>
      <c r="E2" s="21" t="s">
        <v>128</v>
      </c>
      <c r="F2" s="20">
        <v>37887</v>
      </c>
      <c r="H2" s="36" t="s">
        <v>19</v>
      </c>
      <c r="I2" s="36"/>
      <c r="J2" s="38" t="s">
        <v>31</v>
      </c>
      <c r="K2" s="39">
        <v>25.4</v>
      </c>
      <c r="L2" s="39" t="s">
        <v>4</v>
      </c>
      <c r="M2" s="40" t="s">
        <v>8</v>
      </c>
      <c r="N2" s="40"/>
      <c r="O2" s="43" t="s">
        <v>87</v>
      </c>
      <c r="P2" s="43"/>
    </row>
    <row r="3" spans="1:16" ht="12.75">
      <c r="A3" s="70"/>
      <c r="B3" s="71" t="s">
        <v>120</v>
      </c>
      <c r="D3" s="11"/>
      <c r="E3" s="11"/>
      <c r="H3" s="37" t="s">
        <v>18</v>
      </c>
      <c r="I3" s="36"/>
      <c r="J3" s="38" t="s">
        <v>32</v>
      </c>
      <c r="K3" s="39">
        <f>inch*0.012</f>
        <v>0.3048</v>
      </c>
      <c r="L3" s="39" t="s">
        <v>0</v>
      </c>
      <c r="M3" s="41"/>
      <c r="N3" s="40"/>
      <c r="O3" s="43"/>
      <c r="P3" s="43"/>
    </row>
    <row r="4" spans="8:17" ht="12.75">
      <c r="H4" s="77" t="s">
        <v>129</v>
      </c>
      <c r="I4" s="76">
        <v>1</v>
      </c>
      <c r="J4" s="38" t="s">
        <v>33</v>
      </c>
      <c r="K4" s="39">
        <v>0.456</v>
      </c>
      <c r="L4" s="39" t="s">
        <v>7</v>
      </c>
      <c r="M4" s="40"/>
      <c r="N4" s="40"/>
      <c r="O4" s="43"/>
      <c r="P4" s="43"/>
      <c r="Q4" s="26"/>
    </row>
    <row r="5" spans="8:17" ht="12.75">
      <c r="H5" s="53" t="s">
        <v>96</v>
      </c>
      <c r="I5" s="74">
        <v>2</v>
      </c>
      <c r="J5" s="59" t="s">
        <v>103</v>
      </c>
      <c r="K5" s="60">
        <v>0.981</v>
      </c>
      <c r="L5" s="61" t="s">
        <v>104</v>
      </c>
      <c r="M5" s="56" t="s">
        <v>97</v>
      </c>
      <c r="N5" s="40"/>
      <c r="O5" s="57" t="s">
        <v>100</v>
      </c>
      <c r="P5" s="43"/>
      <c r="Q5" s="26"/>
    </row>
    <row r="6" spans="2:17" ht="12.75">
      <c r="B6" s="58" t="str">
        <f>IF(langue=2,O$5,M$5)</f>
        <v>Units:</v>
      </c>
      <c r="H6" s="54">
        <v>1</v>
      </c>
      <c r="I6" s="55" t="str">
        <f>IF(langue=2,O6,M6)</f>
        <v>Metric</v>
      </c>
      <c r="J6" s="26"/>
      <c r="K6" s="26"/>
      <c r="M6" s="56" t="s">
        <v>98</v>
      </c>
      <c r="N6" s="40"/>
      <c r="O6" s="57" t="s">
        <v>101</v>
      </c>
      <c r="P6" s="43"/>
      <c r="Q6" s="26"/>
    </row>
    <row r="7" spans="2:16" ht="15.75">
      <c r="B7" s="52" t="str">
        <f>IF(langue=2,M8,O8)</f>
        <v>Data:</v>
      </c>
      <c r="C7" s="1"/>
      <c r="D7" s="13"/>
      <c r="E7" s="10"/>
      <c r="F7" s="16"/>
      <c r="H7" s="54">
        <v>2</v>
      </c>
      <c r="I7" s="55" t="str">
        <f>IF(langue=2,O7,M7)</f>
        <v>Imperial</v>
      </c>
      <c r="J7"/>
      <c r="K7"/>
      <c r="L7"/>
      <c r="M7" s="56" t="s">
        <v>99</v>
      </c>
      <c r="N7" s="56"/>
      <c r="O7" s="57" t="s">
        <v>102</v>
      </c>
      <c r="P7" s="57"/>
    </row>
    <row r="8" spans="2:16" ht="15.75">
      <c r="B8" s="24" t="str">
        <f>IF(langue=2,N8,P8)</f>
        <v>Boat</v>
      </c>
      <c r="C8" s="1"/>
      <c r="D8" s="13"/>
      <c r="E8" s="10"/>
      <c r="F8" s="16"/>
      <c r="J8"/>
      <c r="K8"/>
      <c r="L8"/>
      <c r="M8" s="40" t="s">
        <v>92</v>
      </c>
      <c r="N8" s="40" t="s">
        <v>57</v>
      </c>
      <c r="O8" s="43" t="s">
        <v>93</v>
      </c>
      <c r="P8" s="43" t="s">
        <v>58</v>
      </c>
    </row>
    <row r="9" spans="2:16" ht="12.75">
      <c r="B9" s="9" t="str">
        <f>IF(langue=2,M9,O9)</f>
        <v>Type?</v>
      </c>
      <c r="C9" s="10"/>
      <c r="H9" s="47" t="str">
        <f>IF(langue=2,I9,J9)</f>
        <v>Monohull</v>
      </c>
      <c r="I9" s="48" t="s">
        <v>21</v>
      </c>
      <c r="J9" s="49" t="s">
        <v>20</v>
      </c>
      <c r="K9" s="46">
        <v>0.003</v>
      </c>
      <c r="L9" s="75">
        <v>1.66</v>
      </c>
      <c r="M9" s="41" t="s">
        <v>47</v>
      </c>
      <c r="N9" s="40"/>
      <c r="O9" s="43" t="s">
        <v>48</v>
      </c>
      <c r="P9" s="43"/>
    </row>
    <row r="10" spans="2:16" ht="12.75">
      <c r="B10" s="9"/>
      <c r="C10" s="10"/>
      <c r="G10" s="12"/>
      <c r="H10" s="47" t="str">
        <f>IF(langue=2,I10,J10)</f>
        <v>Catamaran</v>
      </c>
      <c r="I10" s="49" t="s">
        <v>22</v>
      </c>
      <c r="J10" s="49" t="s">
        <v>22</v>
      </c>
      <c r="K10" s="46">
        <v>0.005</v>
      </c>
      <c r="L10" s="75">
        <v>1.6</v>
      </c>
      <c r="M10" s="41"/>
      <c r="N10" s="40"/>
      <c r="O10" s="43"/>
      <c r="P10" s="43"/>
    </row>
    <row r="11" spans="2:16" ht="12.75">
      <c r="B11" s="9" t="str">
        <f aca="true" t="shared" si="0" ref="B11:B19">IF(langue=2,M11,O11)</f>
        <v>Length?</v>
      </c>
      <c r="D11" s="64">
        <v>44</v>
      </c>
      <c r="E11" s="29" t="str">
        <f>IF(units=1,N11,P11)</f>
        <v>ft</v>
      </c>
      <c r="F11" s="17">
        <f>D11*IF(units=1,1,foot)</f>
        <v>13.411200000000001</v>
      </c>
      <c r="G11" t="s">
        <v>0</v>
      </c>
      <c r="H11" s="73" t="s">
        <v>126</v>
      </c>
      <c r="I11" s="72">
        <v>1</v>
      </c>
      <c r="J11" s="50" t="s">
        <v>78</v>
      </c>
      <c r="K11" s="51">
        <f>IF(type=1,K9,K10)</f>
        <v>0.003</v>
      </c>
      <c r="L11" s="51">
        <f>IF(type=1,L9,L10)</f>
        <v>1.66</v>
      </c>
      <c r="M11" s="41" t="s">
        <v>49</v>
      </c>
      <c r="N11" s="40" t="s">
        <v>0</v>
      </c>
      <c r="O11" s="44" t="s">
        <v>50</v>
      </c>
      <c r="P11" s="43" t="s">
        <v>90</v>
      </c>
    </row>
    <row r="12" spans="2:16" ht="15.75">
      <c r="B12" s="24" t="str">
        <f t="shared" si="0"/>
        <v>Chain</v>
      </c>
      <c r="C12" s="1"/>
      <c r="D12" s="13"/>
      <c r="E12" s="10"/>
      <c r="F12" s="16"/>
      <c r="J12"/>
      <c r="K12"/>
      <c r="L12"/>
      <c r="M12" s="40" t="s">
        <v>63</v>
      </c>
      <c r="N12" s="40"/>
      <c r="O12" s="43" t="s">
        <v>64</v>
      </c>
      <c r="P12" s="43"/>
    </row>
    <row r="13" spans="2:16" ht="12.75">
      <c r="B13" s="9" t="str">
        <f t="shared" si="0"/>
        <v>Chain diameter?</v>
      </c>
      <c r="D13" s="79">
        <f>3/8</f>
        <v>0.375</v>
      </c>
      <c r="E13" s="29" t="str">
        <f>IF(units=1,N13,P13)</f>
        <v>in</v>
      </c>
      <c r="F13" s="17">
        <f>D13*IF(units=1,1,inch)</f>
        <v>9.524999999999999</v>
      </c>
      <c r="G13" t="s">
        <v>4</v>
      </c>
      <c r="H13" s="6" t="s">
        <v>5</v>
      </c>
      <c r="I13" s="7">
        <f>0.0225*diam_ch^2</f>
        <v>2.0413265624999997</v>
      </c>
      <c r="J13" s="5" t="s">
        <v>127</v>
      </c>
      <c r="M13" s="40" t="s">
        <v>9</v>
      </c>
      <c r="N13" s="40" t="s">
        <v>4</v>
      </c>
      <c r="O13" s="43" t="s">
        <v>30</v>
      </c>
      <c r="P13" s="43" t="s">
        <v>88</v>
      </c>
    </row>
    <row r="14" spans="2:16" ht="12.75">
      <c r="B14" s="9" t="str">
        <f t="shared" si="0"/>
        <v>Available chain length?</v>
      </c>
      <c r="D14" s="34">
        <f>450</f>
        <v>450</v>
      </c>
      <c r="E14" s="29" t="str">
        <f>IF(units=1,N14,P14)</f>
        <v>ft</v>
      </c>
      <c r="F14" s="17">
        <f>D14*IF(units=1,1,foot)</f>
        <v>137.16</v>
      </c>
      <c r="G14" t="s">
        <v>0</v>
      </c>
      <c r="M14" s="40" t="s">
        <v>10</v>
      </c>
      <c r="N14" s="40" t="s">
        <v>0</v>
      </c>
      <c r="O14" s="43" t="s">
        <v>13</v>
      </c>
      <c r="P14" s="43" t="s">
        <v>90</v>
      </c>
    </row>
    <row r="15" spans="2:24" ht="12.75">
      <c r="B15" s="9" t="str">
        <f t="shared" si="0"/>
        <v>Chain weight</v>
      </c>
      <c r="D15" s="31">
        <f>poids_ch/IF(units=1,1,pound)</f>
        <v>614.0095423519736</v>
      </c>
      <c r="E15" s="32" t="str">
        <f>IF(units=1,N15,P15)</f>
        <v>lb</v>
      </c>
      <c r="F15" s="15">
        <f>P1_*ch1_</f>
        <v>279.98835131249996</v>
      </c>
      <c r="G15" t="s">
        <v>7</v>
      </c>
      <c r="M15" s="41" t="s">
        <v>42</v>
      </c>
      <c r="N15" s="40" t="s">
        <v>7</v>
      </c>
      <c r="O15" s="43" t="s">
        <v>43</v>
      </c>
      <c r="P15" s="43" t="s">
        <v>89</v>
      </c>
      <c r="X15" s="80"/>
    </row>
    <row r="16" spans="2:24" ht="15.75">
      <c r="B16" s="24" t="str">
        <f t="shared" si="0"/>
        <v>Wind</v>
      </c>
      <c r="C16" s="1"/>
      <c r="D16" s="13"/>
      <c r="E16" s="10"/>
      <c r="F16" s="16"/>
      <c r="J16"/>
      <c r="K16"/>
      <c r="L16"/>
      <c r="M16" s="40" t="s">
        <v>59</v>
      </c>
      <c r="N16" s="40"/>
      <c r="O16" s="43" t="s">
        <v>60</v>
      </c>
      <c r="P16" s="43"/>
      <c r="X16" s="80"/>
    </row>
    <row r="17" spans="2:16" ht="12.75">
      <c r="B17" s="9" t="str">
        <f t="shared" si="0"/>
        <v>Wind speed ?</v>
      </c>
      <c r="D17" s="34">
        <v>30</v>
      </c>
      <c r="E17" s="29" t="str">
        <f>IF(units=1,N17,P17)</f>
        <v>kt</v>
      </c>
      <c r="F17" s="62">
        <f>D17</f>
        <v>30</v>
      </c>
      <c r="G17" s="62" t="s">
        <v>44</v>
      </c>
      <c r="M17" s="40" t="s">
        <v>11</v>
      </c>
      <c r="N17" s="40" t="s">
        <v>6</v>
      </c>
      <c r="O17" s="43" t="s">
        <v>12</v>
      </c>
      <c r="P17" s="43" t="s">
        <v>44</v>
      </c>
    </row>
    <row r="18" spans="2:16" ht="15.75">
      <c r="B18" s="24" t="str">
        <f t="shared" si="0"/>
        <v>Estimated tensions</v>
      </c>
      <c r="C18" s="1"/>
      <c r="D18" s="13"/>
      <c r="E18" s="10"/>
      <c r="F18" s="16"/>
      <c r="L18"/>
      <c r="M18" s="40" t="s">
        <v>61</v>
      </c>
      <c r="N18" s="40"/>
      <c r="O18" s="43" t="s">
        <v>62</v>
      </c>
      <c r="P18" s="43"/>
    </row>
    <row r="19" spans="2:16" ht="12.75">
      <c r="B19" s="9" t="str">
        <f t="shared" si="0"/>
        <v>Static mode tension</v>
      </c>
      <c r="C19" s="1"/>
      <c r="D19" s="13">
        <f>fardage/IF(units=1,1,pound)</f>
        <v>440.54999686680696</v>
      </c>
      <c r="E19" s="30" t="str">
        <f>IF(units=1,N19,P19)</f>
        <v>lb</v>
      </c>
      <c r="F19" s="15">
        <f>K*long^p*vent^2</f>
        <v>200.89079857126399</v>
      </c>
      <c r="G19" t="s">
        <v>1</v>
      </c>
      <c r="K19"/>
      <c r="L19"/>
      <c r="M19" s="40" t="s">
        <v>55</v>
      </c>
      <c r="N19" s="40" t="s">
        <v>1</v>
      </c>
      <c r="O19" s="43" t="s">
        <v>56</v>
      </c>
      <c r="P19" s="43" t="s">
        <v>89</v>
      </c>
    </row>
    <row r="20" spans="2:16" ht="12.75">
      <c r="B20" s="9" t="str">
        <f>CONCATENATE(IF(langue=2,M20,O20)," (x",coef_mixte,")")</f>
        <v>Dynamic overtension with mixed rode (x2.2)</v>
      </c>
      <c r="C20" s="1"/>
      <c r="D20" s="13">
        <f>surt_mixte/IF(units=1,1,pound)</f>
        <v>969.2099931069754</v>
      </c>
      <c r="E20" s="30" t="str">
        <f>IF(units=1,N20,P20)</f>
        <v>lb</v>
      </c>
      <c r="F20" s="15">
        <f>fardage*coef_mixte</f>
        <v>441.9597568567808</v>
      </c>
      <c r="G20" t="s">
        <v>1</v>
      </c>
      <c r="J20" s="6" t="s">
        <v>76</v>
      </c>
      <c r="K20" s="46">
        <v>2.2</v>
      </c>
      <c r="L20"/>
      <c r="M20" s="40" t="s">
        <v>80</v>
      </c>
      <c r="N20" s="40" t="s">
        <v>1</v>
      </c>
      <c r="O20" s="43" t="s">
        <v>81</v>
      </c>
      <c r="P20" s="43" t="s">
        <v>89</v>
      </c>
    </row>
    <row r="21" spans="2:16" ht="12.75">
      <c r="B21" s="9" t="str">
        <f>CONCATENATE(IF(langue=2,M21,O21)," (x",coef_chaine,")")</f>
        <v>Max dynamic overtension (gusts) with all-chain rode (x5)</v>
      </c>
      <c r="C21" s="1"/>
      <c r="D21" s="13">
        <f>surt_ch/IF(units=1,1,pound)</f>
        <v>2202.7499843340347</v>
      </c>
      <c r="E21" s="30" t="str">
        <f>IF(units=1,N21,P21)</f>
        <v>lb</v>
      </c>
      <c r="F21" s="15">
        <f>fardage*coef_chaine</f>
        <v>1004.4539928563199</v>
      </c>
      <c r="G21" t="s">
        <v>1</v>
      </c>
      <c r="J21" s="6" t="s">
        <v>79</v>
      </c>
      <c r="K21" s="46">
        <v>5</v>
      </c>
      <c r="L21"/>
      <c r="M21" s="40" t="s">
        <v>17</v>
      </c>
      <c r="N21" s="40" t="s">
        <v>1</v>
      </c>
      <c r="O21" s="43" t="s">
        <v>14</v>
      </c>
      <c r="P21" s="43" t="s">
        <v>89</v>
      </c>
    </row>
    <row r="22" spans="2:16" ht="12.75">
      <c r="B22" s="9"/>
      <c r="C22" s="1"/>
      <c r="D22" s="13"/>
      <c r="E22" s="10"/>
      <c r="F22" s="15"/>
      <c r="H22" s="12"/>
      <c r="I22"/>
      <c r="J22"/>
      <c r="K22"/>
      <c r="L22"/>
      <c r="M22" s="40"/>
      <c r="N22" s="40"/>
      <c r="O22" s="43"/>
      <c r="P22" s="43"/>
    </row>
    <row r="23" spans="2:16" ht="12.75">
      <c r="B23" s="9" t="str">
        <f>IF(langue=2,M23,O23)</f>
        <v>Selected tension?</v>
      </c>
      <c r="C23" s="9"/>
      <c r="D23" s="34">
        <v>2235.456122467228</v>
      </c>
      <c r="E23" s="29" t="str">
        <f>IF(units=1,N23,P23)</f>
        <v>lb</v>
      </c>
      <c r="F23" s="15">
        <f>D23*IF(units=1,1,pound)</f>
        <v>1019.3679918450559</v>
      </c>
      <c r="G23" t="s">
        <v>1</v>
      </c>
      <c r="J23" s="12" t="s">
        <v>117</v>
      </c>
      <c r="K23" s="46">
        <v>1.4</v>
      </c>
      <c r="L23"/>
      <c r="M23" s="40" t="s">
        <v>45</v>
      </c>
      <c r="N23" s="40" t="s">
        <v>1</v>
      </c>
      <c r="O23" s="43" t="s">
        <v>46</v>
      </c>
      <c r="P23" s="43" t="s">
        <v>89</v>
      </c>
    </row>
    <row r="24" spans="2:16" ht="15.75">
      <c r="B24" s="24" t="str">
        <f>IF(langue=2,M24,O24)</f>
        <v>Bottom</v>
      </c>
      <c r="C24" s="1"/>
      <c r="D24" s="13"/>
      <c r="E24" s="10"/>
      <c r="F24" s="16"/>
      <c r="J24"/>
      <c r="K24"/>
      <c r="L24"/>
      <c r="M24" s="40" t="s">
        <v>65</v>
      </c>
      <c r="N24" s="40"/>
      <c r="O24" s="43" t="s">
        <v>66</v>
      </c>
      <c r="P24" s="43"/>
    </row>
    <row r="25" spans="2:16" ht="12.75">
      <c r="B25" s="9" t="str">
        <f>IF(langue=2,M25,O25)</f>
        <v>Water depth + freeboard?</v>
      </c>
      <c r="D25" s="34">
        <v>120</v>
      </c>
      <c r="E25" s="29" t="str">
        <f>IF(units=1,N25,P25)</f>
        <v>ft</v>
      </c>
      <c r="F25" s="17">
        <f>D25*IF(units=1,1,foot)</f>
        <v>36.576</v>
      </c>
      <c r="G25" s="18" t="s">
        <v>0</v>
      </c>
      <c r="H25" s="10" t="str">
        <f>IF(langue=2,I25,J25)</f>
        <v>Poor</v>
      </c>
      <c r="I25" s="5" t="s">
        <v>23</v>
      </c>
      <c r="J25" t="s">
        <v>26</v>
      </c>
      <c r="K25" s="46">
        <v>5</v>
      </c>
      <c r="L25"/>
      <c r="M25" s="40" t="s">
        <v>16</v>
      </c>
      <c r="N25" s="40" t="s">
        <v>0</v>
      </c>
      <c r="O25" s="43" t="s">
        <v>15</v>
      </c>
      <c r="P25" s="43" t="s">
        <v>90</v>
      </c>
    </row>
    <row r="26" spans="2:16" ht="12.75">
      <c r="B26" s="9"/>
      <c r="D26" s="3"/>
      <c r="E26" s="1"/>
      <c r="H26" s="10" t="str">
        <f>IF(langue=2,I26,J26)</f>
        <v>Medium</v>
      </c>
      <c r="I26" s="5" t="s">
        <v>24</v>
      </c>
      <c r="J26" t="s">
        <v>27</v>
      </c>
      <c r="K26" s="46">
        <v>12</v>
      </c>
      <c r="L26"/>
      <c r="M26" s="40"/>
      <c r="N26" s="40"/>
      <c r="O26" s="43"/>
      <c r="P26" s="43"/>
    </row>
    <row r="27" spans="2:16" ht="12.75">
      <c r="B27" s="9" t="str">
        <f>IF(langue=2,M27,O27)</f>
        <v>Seabed holding?</v>
      </c>
      <c r="H27" s="10" t="str">
        <f>IF(langue=2,I27,J27)</f>
        <v>Good</v>
      </c>
      <c r="I27" s="5" t="s">
        <v>25</v>
      </c>
      <c r="J27" t="s">
        <v>35</v>
      </c>
      <c r="K27" s="46">
        <v>25</v>
      </c>
      <c r="L27"/>
      <c r="M27" s="41" t="s">
        <v>28</v>
      </c>
      <c r="N27" s="40"/>
      <c r="O27" s="43" t="s">
        <v>29</v>
      </c>
      <c r="P27" s="43"/>
    </row>
    <row r="28" spans="2:16" ht="12.75">
      <c r="B28" s="9"/>
      <c r="D28" s="3"/>
      <c r="H28" s="10" t="str">
        <f>IF(langue=2,I28,J28)</f>
        <v>Excellent</v>
      </c>
      <c r="I28" s="5" t="s">
        <v>37</v>
      </c>
      <c r="J28" t="s">
        <v>36</v>
      </c>
      <c r="K28" s="46">
        <v>40</v>
      </c>
      <c r="L28"/>
      <c r="M28" s="41"/>
      <c r="N28" s="40"/>
      <c r="O28" s="43"/>
      <c r="P28" s="43"/>
    </row>
    <row r="29" spans="2:16" ht="12.75">
      <c r="B29" s="9"/>
      <c r="D29" s="3"/>
      <c r="H29" s="6" t="s">
        <v>125</v>
      </c>
      <c r="I29" s="7">
        <v>3</v>
      </c>
      <c r="J29" s="6" t="s">
        <v>77</v>
      </c>
      <c r="K29" s="28">
        <f>CHOOSE(tenue,K25,K26,K27,K28)</f>
        <v>25</v>
      </c>
      <c r="M29" s="41"/>
      <c r="N29" s="40"/>
      <c r="O29" s="43"/>
      <c r="P29" s="43"/>
    </row>
    <row r="30" spans="2:16" ht="15.75">
      <c r="B30" s="52" t="str">
        <f>IF(langue=2,M30,O30)</f>
        <v>Results:</v>
      </c>
      <c r="C30" s="1"/>
      <c r="D30" s="13"/>
      <c r="E30" s="10"/>
      <c r="F30" s="16"/>
      <c r="H30" s="6" t="s">
        <v>111</v>
      </c>
      <c r="I30" s="69">
        <f>(tension/kfond)^(1/m_p)</f>
        <v>14.134461728518597</v>
      </c>
      <c r="J30" s="14" t="s">
        <v>7</v>
      </c>
      <c r="K30"/>
      <c r="L30"/>
      <c r="M30" s="40" t="s">
        <v>94</v>
      </c>
      <c r="N30" s="40"/>
      <c r="O30" s="43" t="s">
        <v>95</v>
      </c>
      <c r="P30" s="43"/>
    </row>
    <row r="31" spans="2:16" ht="15">
      <c r="B31" s="25" t="str">
        <f>IF(langue=2,M31,O31)</f>
        <v>1st case: Whole available chain alone</v>
      </c>
      <c r="C31" s="1"/>
      <c r="D31" s="13"/>
      <c r="E31" s="10"/>
      <c r="F31" s="16"/>
      <c r="H31" s="12" t="s">
        <v>107</v>
      </c>
      <c r="I31" s="66">
        <f>tension/(P1_*fond)</f>
        <v>13.652817881528417</v>
      </c>
      <c r="J31"/>
      <c r="K31"/>
      <c r="L31"/>
      <c r="M31" s="40" t="s">
        <v>123</v>
      </c>
      <c r="N31" s="40"/>
      <c r="O31" s="43" t="s">
        <v>124</v>
      </c>
      <c r="P31" s="43"/>
    </row>
    <row r="32" spans="2:16" ht="12.75">
      <c r="B32" s="9" t="str">
        <f>IF(langue=2,M32,O32)</f>
        <v>Angulation</v>
      </c>
      <c r="C32" s="1"/>
      <c r="D32" s="67">
        <f>DEGREES(alpha)</f>
        <v>7.995676408766378</v>
      </c>
      <c r="E32" s="32" t="str">
        <f>IF(units=1,N32,P32)</f>
        <v>deg</v>
      </c>
      <c r="F32" s="65">
        <f>ASIN(sinalpha)</f>
        <v>0.1395508792570093</v>
      </c>
      <c r="G32" s="62" t="s">
        <v>41</v>
      </c>
      <c r="H32" s="12" t="s">
        <v>40</v>
      </c>
      <c r="I32" s="22">
        <f>(ch1_^2-fond^2)*P1_/(2*fond*tension)</f>
        <v>0.4783810973437546</v>
      </c>
      <c r="J32" s="6" t="s">
        <v>121</v>
      </c>
      <c r="K32" s="8">
        <f>1-(alpha/alpha0)^2</f>
        <v>0.840172896915742</v>
      </c>
      <c r="M32" s="40" t="s">
        <v>75</v>
      </c>
      <c r="N32" s="40" t="s">
        <v>39</v>
      </c>
      <c r="O32" s="43" t="s">
        <v>75</v>
      </c>
      <c r="P32" s="43" t="s">
        <v>91</v>
      </c>
    </row>
    <row r="33" spans="2:16" ht="12.75">
      <c r="B33" s="9" t="str">
        <f>IF(langue=2,M33,O33)</f>
        <v>Minimum anchor weight</v>
      </c>
      <c r="C33" s="1"/>
      <c r="D33" s="13">
        <f>F33/IF(units=1,1,pound)</f>
        <v>35.10240008938668</v>
      </c>
      <c r="E33" s="30" t="str">
        <f>IF(units=1,N33,P33)</f>
        <v>lb</v>
      </c>
      <c r="F33" s="27">
        <f>ancre*reduc^(-1/m_p)</f>
        <v>16.006694440760324</v>
      </c>
      <c r="G33" t="s">
        <v>7</v>
      </c>
      <c r="H33" s="12" t="s">
        <v>38</v>
      </c>
      <c r="I33" s="22">
        <f>IF(testangul&lt;1,(1-testangul)*fond/ch1_,0)</f>
        <v>0.13909837404166545</v>
      </c>
      <c r="J33"/>
      <c r="K33"/>
      <c r="L33"/>
      <c r="M33" s="40" t="s">
        <v>71</v>
      </c>
      <c r="N33" s="40" t="s">
        <v>7</v>
      </c>
      <c r="O33" s="43" t="s">
        <v>72</v>
      </c>
      <c r="P33" s="43" t="s">
        <v>89</v>
      </c>
    </row>
    <row r="34" spans="2:16" ht="12.75">
      <c r="B34" s="9" t="str">
        <f>IF(langue=2,M34,O34)</f>
        <v>Scope ("Length/Depth" ratio)</v>
      </c>
      <c r="C34" s="1"/>
      <c r="D34" s="33">
        <f>F34</f>
        <v>3.75</v>
      </c>
      <c r="E34" s="30"/>
      <c r="F34" s="63">
        <f>ch1_/fond</f>
        <v>3.75</v>
      </c>
      <c r="H34" s="12" t="s">
        <v>105</v>
      </c>
      <c r="I34" s="23">
        <f>RADIANS(K34)</f>
        <v>0.3490658503988659</v>
      </c>
      <c r="J34" s="12" t="s">
        <v>122</v>
      </c>
      <c r="K34" s="46">
        <v>20</v>
      </c>
      <c r="L34" t="s">
        <v>91</v>
      </c>
      <c r="M34" s="40" t="s">
        <v>83</v>
      </c>
      <c r="N34" s="40"/>
      <c r="O34" s="43" t="s">
        <v>84</v>
      </c>
      <c r="P34" s="43"/>
    </row>
    <row r="35" spans="2:16" ht="12.75">
      <c r="B35" s="9"/>
      <c r="C35" s="1"/>
      <c r="D35" s="13"/>
      <c r="E35" s="30"/>
      <c r="H35" s="12"/>
      <c r="I35" s="22"/>
      <c r="J35"/>
      <c r="K35"/>
      <c r="L35"/>
      <c r="M35" s="40"/>
      <c r="N35" s="40"/>
      <c r="O35" s="43"/>
      <c r="P35" s="43"/>
    </row>
    <row r="36" spans="2:16" ht="15">
      <c r="B36" s="25" t="str">
        <f>IF(langue=2,M36,O36)</f>
        <v>2nd case: All-chain rode with given angulation</v>
      </c>
      <c r="C36" s="1"/>
      <c r="D36" s="13"/>
      <c r="E36" s="30"/>
      <c r="F36" s="16"/>
      <c r="J36"/>
      <c r="K36"/>
      <c r="L36"/>
      <c r="M36" s="40" t="s">
        <v>109</v>
      </c>
      <c r="N36" s="40"/>
      <c r="O36" s="43" t="s">
        <v>110</v>
      </c>
      <c r="P36" s="43"/>
    </row>
    <row r="37" spans="2:16" ht="12.75">
      <c r="B37" s="9" t="str">
        <f>IF(langue=2,M37,O37)</f>
        <v>Angulation?</v>
      </c>
      <c r="C37" s="1"/>
      <c r="D37" s="78">
        <v>0</v>
      </c>
      <c r="E37" s="29" t="str">
        <f>IF(units=1,N37,P37)</f>
        <v>deg</v>
      </c>
      <c r="F37" s="65">
        <f>RADIANS(alpha2in)</f>
        <v>0</v>
      </c>
      <c r="G37" s="62" t="s">
        <v>41</v>
      </c>
      <c r="H37" s="6" t="s">
        <v>108</v>
      </c>
      <c r="I37" s="8">
        <f>b*TAN(alpha2)</f>
        <v>0</v>
      </c>
      <c r="J37" s="6" t="s">
        <v>121</v>
      </c>
      <c r="K37" s="8">
        <f>1-(alpha2/alpha0)^2</f>
        <v>1</v>
      </c>
      <c r="M37" s="40" t="s">
        <v>113</v>
      </c>
      <c r="N37" s="40" t="s">
        <v>39</v>
      </c>
      <c r="O37" s="43" t="s">
        <v>112</v>
      </c>
      <c r="P37" s="43" t="s">
        <v>91</v>
      </c>
    </row>
    <row r="38" spans="2:16" ht="12.75">
      <c r="B38" s="9" t="str">
        <f>IF(langue=2,M38,O38)</f>
        <v>Minimum anchor weight</v>
      </c>
      <c r="C38" s="1"/>
      <c r="D38" s="13">
        <f>F38/IF(units=1,1,pound)</f>
        <v>30.9966265976285</v>
      </c>
      <c r="E38" s="30" t="str">
        <f>IF(units=1,N38,P38)</f>
        <v>lb</v>
      </c>
      <c r="F38" s="27">
        <f>ancre*reduc2^(-1/m_p)</f>
        <v>14.134461728518597</v>
      </c>
      <c r="G38" t="s">
        <v>7</v>
      </c>
      <c r="J38"/>
      <c r="L38"/>
      <c r="M38" s="40" t="s">
        <v>71</v>
      </c>
      <c r="N38" s="40" t="s">
        <v>7</v>
      </c>
      <c r="O38" s="43" t="s">
        <v>72</v>
      </c>
      <c r="P38" s="43" t="s">
        <v>89</v>
      </c>
    </row>
    <row r="39" spans="2:16" ht="12.75">
      <c r="B39" s="9" t="str">
        <f>IF(langue=2,M39,O39)</f>
        <v>Minimum chain length</v>
      </c>
      <c r="C39" s="1"/>
      <c r="D39" s="13">
        <f>F39/IF(units=1,1,foot)</f>
        <v>638.4364925253086</v>
      </c>
      <c r="E39" s="30" t="str">
        <f>IF(units=1,N39,P39)</f>
        <v>ft</v>
      </c>
      <c r="F39" s="16">
        <f>fond*(SQRT(1+2*b/COS(alpha2)+v2_^2)-v2_)</f>
        <v>194.59544292171407</v>
      </c>
      <c r="G39" t="s">
        <v>0</v>
      </c>
      <c r="J39"/>
      <c r="K39"/>
      <c r="L39"/>
      <c r="M39" s="40" t="s">
        <v>54</v>
      </c>
      <c r="N39" s="40" t="s">
        <v>0</v>
      </c>
      <c r="O39" s="43" t="s">
        <v>73</v>
      </c>
      <c r="P39" s="43" t="s">
        <v>90</v>
      </c>
    </row>
    <row r="40" spans="2:16" ht="12.75">
      <c r="B40" s="9" t="str">
        <f>IF(langue=2,M40,O40)</f>
        <v>Scope ("Length/Depth" ratio)</v>
      </c>
      <c r="C40" s="1"/>
      <c r="D40" s="33">
        <f>F40</f>
        <v>5.320304104377572</v>
      </c>
      <c r="E40" s="30"/>
      <c r="F40" s="63">
        <f>ch_seule/fond</f>
        <v>5.320304104377572</v>
      </c>
      <c r="H40" s="12"/>
      <c r="I40" s="22"/>
      <c r="J40"/>
      <c r="K40"/>
      <c r="L40"/>
      <c r="M40" s="40" t="s">
        <v>83</v>
      </c>
      <c r="N40" s="40"/>
      <c r="O40" s="43" t="s">
        <v>84</v>
      </c>
      <c r="P40" s="43"/>
    </row>
    <row r="41" spans="2:16" ht="12.75">
      <c r="B41" s="9"/>
      <c r="C41" s="1"/>
      <c r="D41" s="13"/>
      <c r="E41" s="30"/>
      <c r="F41" s="23"/>
      <c r="H41" s="12"/>
      <c r="I41" s="22"/>
      <c r="J41"/>
      <c r="K41"/>
      <c r="L41"/>
      <c r="M41" s="40"/>
      <c r="N41" s="40"/>
      <c r="O41" s="43"/>
      <c r="P41" s="43"/>
    </row>
    <row r="42" spans="2:16" ht="15">
      <c r="B42" s="25" t="str">
        <f>IF(langue=2,M42,O42)</f>
        <v>3rd case: Available chain + nylon (same angulation)</v>
      </c>
      <c r="C42" s="1"/>
      <c r="D42" s="13"/>
      <c r="E42" s="30"/>
      <c r="F42" s="16"/>
      <c r="H42" s="6" t="s">
        <v>114</v>
      </c>
      <c r="I42" s="68">
        <f>tension/(P1_*COS(alpha2))</f>
        <v>499.3654668347834</v>
      </c>
      <c r="J42" t="s">
        <v>0</v>
      </c>
      <c r="K42"/>
      <c r="L42"/>
      <c r="M42" s="40" t="s">
        <v>118</v>
      </c>
      <c r="N42" s="40"/>
      <c r="O42" s="43" t="s">
        <v>119</v>
      </c>
      <c r="P42" s="43"/>
    </row>
    <row r="43" spans="2:16" ht="12.75">
      <c r="B43" s="9" t="str">
        <f>IF(langue=2,M43,O43)</f>
        <v>Minimum anchor weight</v>
      </c>
      <c r="C43" s="1"/>
      <c r="D43" s="13">
        <f>F43/IF(units=1,1,pound)</f>
        <v>30.9966265976285</v>
      </c>
      <c r="E43" s="30" t="str">
        <f>IF(units=1,N43,P43)</f>
        <v>lb</v>
      </c>
      <c r="F43" s="27">
        <f>ancre*reduc2^(-1/m_p)</f>
        <v>14.134461728518597</v>
      </c>
      <c r="G43" t="s">
        <v>7</v>
      </c>
      <c r="H43" s="6" t="s">
        <v>115</v>
      </c>
      <c r="I43" s="68">
        <f>d3_*(SQRT(1+2*ch1_*SIN(alpha2)/d3_+(ch1_/d3_)^2)-1)</f>
        <v>18.494297065754743</v>
      </c>
      <c r="J43" s="5" t="s">
        <v>0</v>
      </c>
      <c r="K43"/>
      <c r="L43"/>
      <c r="M43" s="40" t="s">
        <v>71</v>
      </c>
      <c r="N43" s="40" t="s">
        <v>7</v>
      </c>
      <c r="O43" s="43" t="s">
        <v>72</v>
      </c>
      <c r="P43" s="43" t="s">
        <v>89</v>
      </c>
    </row>
    <row r="44" spans="2:16" ht="12.75">
      <c r="B44" s="9" t="str">
        <f>IF(langue=2,M44,O44)</f>
        <v>Minimum nylon length</v>
      </c>
      <c r="C44" s="1"/>
      <c r="D44" s="13">
        <f>F44/IF(units=1,1,foot)</f>
        <v>223.9799068995402</v>
      </c>
      <c r="E44" s="30" t="str">
        <f>IF(units=1,N44,P44)</f>
        <v>ft</v>
      </c>
      <c r="F44" s="16">
        <f>IF(f3_&gt;0,f3_/SIN(beta),0)</f>
        <v>68.26907562297986</v>
      </c>
      <c r="G44" t="s">
        <v>0</v>
      </c>
      <c r="H44" s="6" t="s">
        <v>2</v>
      </c>
      <c r="I44" s="8">
        <f>ch1_*P1_/tension+TAN(alpha2)</f>
        <v>0.2746685726375625</v>
      </c>
      <c r="J44" s="7"/>
      <c r="K44" s="7"/>
      <c r="L44" s="7"/>
      <c r="M44" s="40" t="s">
        <v>51</v>
      </c>
      <c r="N44" s="40" t="s">
        <v>0</v>
      </c>
      <c r="O44" s="43" t="s">
        <v>74</v>
      </c>
      <c r="P44" s="43" t="s">
        <v>90</v>
      </c>
    </row>
    <row r="45" spans="2:16" ht="12.75">
      <c r="B45" s="9" t="str">
        <f>IF(langue=2,M45,O45)</f>
        <v>Total rode length</v>
      </c>
      <c r="C45" s="1"/>
      <c r="D45" s="31">
        <f>F45/IF(units=1,1,foot)</f>
        <v>673.9799068995401</v>
      </c>
      <c r="E45" s="10" t="str">
        <f>IF(units=1,N45,P45)</f>
        <v>ft</v>
      </c>
      <c r="F45" s="16">
        <f>IF(ch_seule&lt;ch1_,ch_seule,ch1_+cablot)</f>
        <v>205.42907562297984</v>
      </c>
      <c r="G45" t="s">
        <v>0</v>
      </c>
      <c r="H45" s="6" t="s">
        <v>3</v>
      </c>
      <c r="I45" s="8">
        <f>ATAN(tanbeta)</f>
        <v>0.26805805942406974</v>
      </c>
      <c r="J45" s="12" t="s">
        <v>106</v>
      </c>
      <c r="K45" s="69">
        <f>DEGREES(beta)</f>
        <v>15.358595469466218</v>
      </c>
      <c r="L45" t="s">
        <v>91</v>
      </c>
      <c r="M45" s="40" t="s">
        <v>52</v>
      </c>
      <c r="N45" s="40" t="s">
        <v>0</v>
      </c>
      <c r="O45" s="43" t="s">
        <v>53</v>
      </c>
      <c r="P45" s="43" t="s">
        <v>90</v>
      </c>
    </row>
    <row r="46" spans="2:16" ht="12.75">
      <c r="B46" s="9" t="str">
        <f>IF(langue=2,M46,O46)</f>
        <v>Scope ("Total Length/Depth" ratio)</v>
      </c>
      <c r="C46" s="1"/>
      <c r="D46" s="33">
        <f>F46</f>
        <v>5.616499224162834</v>
      </c>
      <c r="E46" s="32"/>
      <c r="F46" s="63">
        <f>F45/fond</f>
        <v>5.616499224162834</v>
      </c>
      <c r="H46" s="6" t="s">
        <v>116</v>
      </c>
      <c r="I46" s="68">
        <f>fond-hch</f>
        <v>18.081702934245257</v>
      </c>
      <c r="J46" s="8" t="s">
        <v>0</v>
      </c>
      <c r="K46"/>
      <c r="L46"/>
      <c r="M46" s="40" t="s">
        <v>82</v>
      </c>
      <c r="N46" s="40"/>
      <c r="O46" s="43" t="s">
        <v>85</v>
      </c>
      <c r="P46" s="43"/>
    </row>
    <row r="47" spans="2:16" ht="12.75">
      <c r="B47" s="1"/>
      <c r="C47" s="1"/>
      <c r="D47" s="2"/>
      <c r="E47" s="1"/>
      <c r="K47" s="8"/>
      <c r="L47" s="8"/>
      <c r="M47" s="42"/>
      <c r="N47" s="40"/>
      <c r="O47" s="45"/>
      <c r="P47" s="43"/>
    </row>
    <row r="48" spans="2:16" ht="12.75">
      <c r="B48" s="4" t="str">
        <f>IF(langue=2,M48,O48)</f>
        <v>(*) For classic anchor, e.g. CQR, Bruce, Danforth, Britany, etc.</v>
      </c>
      <c r="C48" s="4"/>
      <c r="J48" s="8"/>
      <c r="K48" s="8"/>
      <c r="L48" s="8"/>
      <c r="M48" s="42" t="s">
        <v>69</v>
      </c>
      <c r="N48" s="40"/>
      <c r="O48" s="45" t="s">
        <v>70</v>
      </c>
      <c r="P48" s="43"/>
    </row>
    <row r="49" spans="2:16" ht="12.75">
      <c r="B49" s="4" t="str">
        <f>IF(langue=2,M49,O49)</f>
        <v>Minimum weight can be reduced by 30% with modern high holding anchors</v>
      </c>
      <c r="C49" s="4"/>
      <c r="H49"/>
      <c r="I49"/>
      <c r="J49" s="8"/>
      <c r="K49" s="8"/>
      <c r="L49" s="8"/>
      <c r="M49" s="42" t="s">
        <v>67</v>
      </c>
      <c r="N49" s="40"/>
      <c r="O49" s="45" t="s">
        <v>68</v>
      </c>
      <c r="P49" s="43"/>
    </row>
    <row r="50" spans="2:16" ht="12.75">
      <c r="B50" s="4" t="str">
        <f>IF(langue=2,M50,O50)</f>
        <v>e.g. Spade, Brake, Bügel, Delta</v>
      </c>
      <c r="C50" s="4"/>
      <c r="H50"/>
      <c r="I50"/>
      <c r="J50" s="8"/>
      <c r="K50" s="8"/>
      <c r="L50" s="8"/>
      <c r="M50" s="42" t="s">
        <v>86</v>
      </c>
      <c r="N50" s="40"/>
      <c r="O50" s="45" t="s">
        <v>86</v>
      </c>
      <c r="P50" s="43"/>
    </row>
    <row r="51" spans="8:16" ht="12.75">
      <c r="H51" s="6"/>
      <c r="M51" s="42"/>
      <c r="N51" s="42"/>
      <c r="O51" s="45"/>
      <c r="P51" s="45"/>
    </row>
    <row r="52" ht="12.75">
      <c r="H52" s="6"/>
    </row>
    <row r="53" ht="12.75">
      <c r="H53" s="6"/>
    </row>
    <row r="54" ht="12.75">
      <c r="H54" s="6"/>
    </row>
    <row r="55" ht="12.75">
      <c r="H55" s="6"/>
    </row>
  </sheetData>
  <conditionalFormatting sqref="F11:G11 F13:G15 F19:G21 F23:G23 F25:G25 F37:G39 F32:G33 F43:G45">
    <cfRule type="expression" priority="1" dxfId="0" stopIfTrue="1">
      <formula>units=1</formula>
    </cfRule>
  </conditionalFormatting>
  <conditionalFormatting sqref="F7:G8 F59:F73 G50:G73 F50:F56 F47:G49">
    <cfRule type="expression" priority="2" dxfId="0" stopIfTrue="1">
      <formula>$I$4=2</formula>
    </cfRule>
  </conditionalFormatting>
  <hyperlinks>
    <hyperlink ref="B3" r:id="rId1" display="http://alain.fraysse.free.fr"/>
  </hyperlinks>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dc:creator>
  <cp:keywords/>
  <dc:description/>
  <cp:lastModifiedBy>Jeffrey M Stander</cp:lastModifiedBy>
  <dcterms:created xsi:type="dcterms:W3CDTF">2002-07-07T07:16:16Z</dcterms:created>
  <dcterms:modified xsi:type="dcterms:W3CDTF">2005-08-30T12:47:57Z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